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935" windowHeight="5325" activeTab="1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<sst xmlns="http://schemas.openxmlformats.org/spreadsheetml/2006/main" count="116" uniqueCount="72">
  <si>
    <t>Problema N-1</t>
  </si>
  <si>
    <t>INGRESO BRUTO</t>
  </si>
  <si>
    <t>MAT. PRIMA (A)</t>
  </si>
  <si>
    <t>MAT. PRIMA (B)</t>
  </si>
  <si>
    <t>ENERGIA</t>
  </si>
  <si>
    <t>MANO DE OBRA</t>
  </si>
  <si>
    <t>MANTENIMIENTO</t>
  </si>
  <si>
    <t>CATALIZADOR</t>
  </si>
  <si>
    <t>GASTOS FIJOS</t>
  </si>
  <si>
    <t>AMORTIZACION</t>
  </si>
  <si>
    <t>UTILIDAD BRUTA</t>
  </si>
  <si>
    <t>TOTAL EGRESOS</t>
  </si>
  <si>
    <t>IMPUESTO</t>
  </si>
  <si>
    <t>CAPITAL DE TRABAJO</t>
  </si>
  <si>
    <t>REPUESTOS</t>
  </si>
  <si>
    <t>PRODUCTO TERMINADO</t>
  </si>
  <si>
    <t>UTILIDAD NETA</t>
  </si>
  <si>
    <t>TOTAL</t>
  </si>
  <si>
    <t>COSTO TOTAL</t>
  </si>
  <si>
    <t>INGRESOS</t>
  </si>
  <si>
    <t>PAGOS A PROVEEDORES</t>
  </si>
  <si>
    <t>Kw</t>
  </si>
  <si>
    <t>flujo de caja</t>
  </si>
  <si>
    <t>UTILIDAD NO OPERACIONAL</t>
  </si>
  <si>
    <t>INVERSION INICIAL</t>
  </si>
  <si>
    <t>BRC</t>
  </si>
  <si>
    <t>TIR</t>
  </si>
  <si>
    <t>VPN</t>
  </si>
  <si>
    <t>PRI</t>
  </si>
  <si>
    <t>DTF</t>
  </si>
  <si>
    <t>7 AÑOS 8 MESES</t>
  </si>
  <si>
    <t>VPN INGRESOS</t>
  </si>
  <si>
    <t>VPN EGRESOS</t>
  </si>
  <si>
    <t>SI ES VIABLE EL PROYECTO DEACUERDO A LOS RESULTADOS OBTENIDOS.</t>
  </si>
  <si>
    <t>Problema N-2</t>
  </si>
  <si>
    <t>precio</t>
  </si>
  <si>
    <t>cantidad</t>
  </si>
  <si>
    <t>Inversion</t>
  </si>
  <si>
    <t>Combustible C T</t>
  </si>
  <si>
    <t>Redudccion</t>
  </si>
  <si>
    <t>3 anos</t>
  </si>
  <si>
    <t>4 a 7 años</t>
  </si>
  <si>
    <t>Mantenimiento</t>
  </si>
  <si>
    <t>Repuestos</t>
  </si>
  <si>
    <t>mano de obra m</t>
  </si>
  <si>
    <t>Insumos</t>
  </si>
  <si>
    <t>Catalizador</t>
  </si>
  <si>
    <t>1 a 3 años</t>
  </si>
  <si>
    <t>gastos generales</t>
  </si>
  <si>
    <t>Años</t>
  </si>
  <si>
    <t>Invesion inicial</t>
  </si>
  <si>
    <t>total ingresos</t>
  </si>
  <si>
    <t>mano de obra</t>
  </si>
  <si>
    <t>amortizacion</t>
  </si>
  <si>
    <t>total egreosos</t>
  </si>
  <si>
    <t>utilidad antes impuestos</t>
  </si>
  <si>
    <t>IMPUESTOS</t>
  </si>
  <si>
    <t>UTIDAD NETA</t>
  </si>
  <si>
    <t>repuestos</t>
  </si>
  <si>
    <t>insumos</t>
  </si>
  <si>
    <t>catalizador</t>
  </si>
  <si>
    <t>4 a 10 años</t>
  </si>
  <si>
    <t>total</t>
  </si>
  <si>
    <t>Pago a proveedores</t>
  </si>
  <si>
    <t>repuestos importados</t>
  </si>
  <si>
    <t>repuestos nacionales</t>
  </si>
  <si>
    <t>Dias</t>
  </si>
  <si>
    <t>KW</t>
  </si>
  <si>
    <t>FLUJO DE CAJA</t>
  </si>
  <si>
    <t>o</t>
  </si>
  <si>
    <t>7 AÑOS Y 10 MESES</t>
  </si>
  <si>
    <t>Datos</t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</si>
</sst>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"/>
    <numFmt numFmtId="167" formatCode="0.0000"/>
    <numFmt numFmtId="168" formatCode="0.000"/>
    <numFmt numFmtId="169" formatCode="0.0"/>
    <numFmt numFmtId="170" formatCode="&quot;$&quot;\ #,##0.0_);[Red]\(&quot;$&quot;\ #,##0.0\)"/>
    <numFmt numFmtId="171" formatCode="0.00000000"/>
    <numFmt numFmtId="172" formatCode="0.0000000"/>
    <numFmt numFmtId="173" formatCode="0.000000"/>
    <numFmt numFmtId="174" formatCode="0.0%"/>
    <numFmt numFmtId="175" formatCode="_-* #,##0.00\ _€_-;\-* #,##0.00\ _€_-;_-* &quot;-&quot;??\ _€_-;_-@_-"/>
    <numFmt numFmtId="176" formatCode="_-* #,##0\ _€_-;\-* #,##0\ _€_-;_-* &quot;-&quot;??\ _€_-;_-@_-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56"/>
      <name val="Cambria"/>
      <family val="2"/>
    </font>
    <font>
      <b/>
      <sz val="18"/>
      <color indexed="56"/>
      <name val="Baskerville Old Face"/>
      <family val="1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3"/>
      <name val="Cambria"/>
      <family val="2"/>
    </font>
    <font>
      <b/>
      <sz val="18"/>
      <color theme="3"/>
      <name val="Baskerville Old Face"/>
      <family val="1"/>
    </font>
    <font>
      <b/>
      <i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ck"/>
      <bottom>
        <color indexed="63"/>
      </bottom>
    </border>
    <border>
      <left style="medium"/>
      <right/>
      <top style="medium"/>
      <bottom style="medium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 horizontal="center"/>
    </xf>
    <xf numFmtId="165" fontId="0" fillId="0" borderId="10" xfId="48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165" fontId="0" fillId="0" borderId="10" xfId="0" applyNumberFormat="1" applyBorder="1" applyAlignment="1">
      <alignment/>
    </xf>
    <xf numFmtId="165" fontId="41" fillId="0" borderId="10" xfId="0" applyNumberFormat="1" applyFont="1" applyBorder="1" applyAlignment="1">
      <alignment/>
    </xf>
    <xf numFmtId="0" fontId="41" fillId="0" borderId="9" xfId="62" applyAlignment="1">
      <alignment/>
    </xf>
    <xf numFmtId="165" fontId="41" fillId="0" borderId="9" xfId="62" applyNumberFormat="1" applyAlignment="1">
      <alignment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 horizontal="right"/>
    </xf>
    <xf numFmtId="0" fontId="41" fillId="0" borderId="10" xfId="0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33" borderId="0" xfId="0" applyFill="1" applyAlignment="1">
      <alignment/>
    </xf>
    <xf numFmtId="165" fontId="0" fillId="33" borderId="0" xfId="0" applyNumberFormat="1" applyFill="1" applyAlignment="1">
      <alignment/>
    </xf>
    <xf numFmtId="1" fontId="0" fillId="0" borderId="12" xfId="0" applyNumberFormat="1" applyBorder="1" applyAlignment="1">
      <alignment/>
    </xf>
    <xf numFmtId="165" fontId="0" fillId="0" borderId="12" xfId="48" applyNumberFormat="1" applyFont="1" applyBorder="1" applyAlignment="1">
      <alignment/>
    </xf>
    <xf numFmtId="165" fontId="0" fillId="0" borderId="12" xfId="0" applyNumberFormat="1" applyBorder="1" applyAlignment="1">
      <alignment/>
    </xf>
    <xf numFmtId="0" fontId="0" fillId="33" borderId="13" xfId="0" applyFill="1" applyBorder="1" applyAlignment="1">
      <alignment horizontal="right"/>
    </xf>
    <xf numFmtId="0" fontId="41" fillId="0" borderId="9" xfId="62" applyFill="1" applyAlignment="1">
      <alignment horizontal="right"/>
    </xf>
    <xf numFmtId="1" fontId="41" fillId="0" borderId="9" xfId="62" applyNumberFormat="1" applyAlignment="1">
      <alignment/>
    </xf>
    <xf numFmtId="0" fontId="41" fillId="0" borderId="0" xfId="0" applyFont="1" applyAlignment="1">
      <alignment/>
    </xf>
    <xf numFmtId="0" fontId="41" fillId="0" borderId="11" xfId="0" applyFont="1" applyBorder="1" applyAlignment="1">
      <alignment horizontal="center"/>
    </xf>
    <xf numFmtId="0" fontId="41" fillId="0" borderId="10" xfId="0" applyFont="1" applyBorder="1" applyAlignment="1">
      <alignment/>
    </xf>
    <xf numFmtId="10" fontId="0" fillId="0" borderId="10" xfId="0" applyNumberFormat="1" applyBorder="1" applyAlignment="1">
      <alignment/>
    </xf>
    <xf numFmtId="6" fontId="41" fillId="0" borderId="10" xfId="0" applyNumberFormat="1" applyFont="1" applyBorder="1" applyAlignment="1">
      <alignment/>
    </xf>
    <xf numFmtId="1" fontId="41" fillId="0" borderId="10" xfId="0" applyNumberFormat="1" applyFont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8" fontId="0" fillId="0" borderId="10" xfId="0" applyNumberFormat="1" applyBorder="1" applyAlignment="1">
      <alignment/>
    </xf>
    <xf numFmtId="0" fontId="41" fillId="0" borderId="14" xfId="0" applyFont="1" applyBorder="1" applyAlignment="1">
      <alignment/>
    </xf>
    <xf numFmtId="0" fontId="38" fillId="0" borderId="0" xfId="58" applyFill="1" applyAlignment="1">
      <alignment horizontal="center"/>
    </xf>
    <xf numFmtId="0" fontId="0" fillId="0" borderId="0" xfId="0" applyFill="1" applyAlignment="1">
      <alignment/>
    </xf>
    <xf numFmtId="9" fontId="0" fillId="0" borderId="0" xfId="0" applyNumberFormat="1" applyAlignment="1">
      <alignment/>
    </xf>
    <xf numFmtId="9" fontId="41" fillId="0" borderId="10" xfId="0" applyNumberFormat="1" applyFont="1" applyBorder="1" applyAlignment="1">
      <alignment/>
    </xf>
    <xf numFmtId="0" fontId="41" fillId="0" borderId="0" xfId="0" applyFont="1" applyBorder="1" applyAlignment="1">
      <alignment horizontal="center"/>
    </xf>
    <xf numFmtId="176" fontId="0" fillId="0" borderId="0" xfId="48" applyNumberFormat="1" applyFont="1" applyBorder="1" applyAlignment="1">
      <alignment/>
    </xf>
    <xf numFmtId="0" fontId="0" fillId="18" borderId="15" xfId="0" applyFill="1" applyBorder="1" applyAlignment="1">
      <alignment horizontal="center"/>
    </xf>
    <xf numFmtId="176" fontId="0" fillId="6" borderId="15" xfId="48" applyNumberFormat="1" applyFont="1" applyFill="1" applyBorder="1" applyAlignment="1">
      <alignment/>
    </xf>
    <xf numFmtId="0" fontId="0" fillId="6" borderId="15" xfId="0" applyFill="1" applyBorder="1" applyAlignment="1">
      <alignment/>
    </xf>
    <xf numFmtId="0" fontId="0" fillId="34" borderId="15" xfId="0" applyFill="1" applyBorder="1" applyAlignment="1">
      <alignment horizontal="right"/>
    </xf>
    <xf numFmtId="0" fontId="0" fillId="34" borderId="15" xfId="0" applyFill="1" applyBorder="1" applyAlignment="1">
      <alignment/>
    </xf>
    <xf numFmtId="176" fontId="0" fillId="6" borderId="15" xfId="0" applyNumberFormat="1" applyFill="1" applyBorder="1" applyAlignment="1">
      <alignment/>
    </xf>
    <xf numFmtId="176" fontId="0" fillId="34" borderId="15" xfId="0" applyNumberFormat="1" applyFill="1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/>
    </xf>
    <xf numFmtId="0" fontId="0" fillId="35" borderId="0" xfId="0" applyFill="1" applyAlignment="1">
      <alignment/>
    </xf>
    <xf numFmtId="0" fontId="41" fillId="35" borderId="10" xfId="0" applyFont="1" applyFill="1" applyBorder="1" applyAlignment="1">
      <alignment/>
    </xf>
    <xf numFmtId="1" fontId="41" fillId="35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176" fontId="0" fillId="35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176" fontId="0" fillId="33" borderId="10" xfId="0" applyNumberFormat="1" applyFill="1" applyBorder="1" applyAlignment="1">
      <alignment/>
    </xf>
    <xf numFmtId="176" fontId="0" fillId="18" borderId="10" xfId="0" applyNumberFormat="1" applyFill="1" applyBorder="1" applyAlignment="1">
      <alignment/>
    </xf>
    <xf numFmtId="0" fontId="0" fillId="6" borderId="11" xfId="0" applyFill="1" applyBorder="1" applyAlignment="1">
      <alignment/>
    </xf>
    <xf numFmtId="176" fontId="0" fillId="18" borderId="10" xfId="0" applyNumberFormat="1" applyFill="1" applyBorder="1" applyAlignment="1">
      <alignment horizontal="center"/>
    </xf>
    <xf numFmtId="176" fontId="0" fillId="0" borderId="0" xfId="0" applyNumberFormat="1" applyAlignment="1">
      <alignment/>
    </xf>
    <xf numFmtId="1" fontId="0" fillId="0" borderId="0" xfId="0" applyNumberFormat="1" applyAlignment="1">
      <alignment/>
    </xf>
    <xf numFmtId="176" fontId="0" fillId="18" borderId="0" xfId="0" applyNumberFormat="1" applyFill="1" applyAlignment="1">
      <alignment/>
    </xf>
    <xf numFmtId="0" fontId="0" fillId="6" borderId="16" xfId="0" applyFill="1" applyBorder="1" applyAlignment="1">
      <alignment/>
    </xf>
    <xf numFmtId="0" fontId="0" fillId="6" borderId="17" xfId="0" applyFill="1" applyBorder="1" applyAlignment="1">
      <alignment/>
    </xf>
    <xf numFmtId="176" fontId="0" fillId="36" borderId="18" xfId="0" applyNumberFormat="1" applyFill="1" applyBorder="1" applyAlignment="1">
      <alignment/>
    </xf>
    <xf numFmtId="3" fontId="0" fillId="18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10" fontId="0" fillId="18" borderId="10" xfId="0" applyNumberFormat="1" applyFill="1" applyBorder="1" applyAlignment="1">
      <alignment/>
    </xf>
    <xf numFmtId="165" fontId="0" fillId="0" borderId="11" xfId="48" applyNumberFormat="1" applyFont="1" applyBorder="1" applyAlignment="1">
      <alignment/>
    </xf>
    <xf numFmtId="0" fontId="41" fillId="18" borderId="10" xfId="0" applyFont="1" applyFill="1" applyBorder="1" applyAlignment="1">
      <alignment/>
    </xf>
    <xf numFmtId="8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" fontId="41" fillId="0" borderId="0" xfId="0" applyNumberFormat="1" applyFont="1" applyFill="1" applyBorder="1" applyAlignment="1">
      <alignment/>
    </xf>
    <xf numFmtId="0" fontId="41" fillId="35" borderId="14" xfId="0" applyFont="1" applyFill="1" applyBorder="1" applyAlignment="1">
      <alignment/>
    </xf>
    <xf numFmtId="9" fontId="41" fillId="35" borderId="10" xfId="0" applyNumberFormat="1" applyFont="1" applyFill="1" applyBorder="1" applyAlignment="1">
      <alignment/>
    </xf>
    <xf numFmtId="6" fontId="41" fillId="35" borderId="10" xfId="0" applyNumberFormat="1" applyFont="1" applyFill="1" applyBorder="1" applyAlignment="1">
      <alignment/>
    </xf>
    <xf numFmtId="6" fontId="0" fillId="35" borderId="10" xfId="0" applyNumberFormat="1" applyFill="1" applyBorder="1" applyAlignment="1">
      <alignment/>
    </xf>
    <xf numFmtId="0" fontId="41" fillId="35" borderId="12" xfId="0" applyFont="1" applyFill="1" applyBorder="1" applyAlignment="1">
      <alignment horizontal="center"/>
    </xf>
    <xf numFmtId="0" fontId="41" fillId="35" borderId="11" xfId="0" applyFont="1" applyFill="1" applyBorder="1" applyAlignment="1">
      <alignment horizontal="center"/>
    </xf>
    <xf numFmtId="0" fontId="41" fillId="36" borderId="19" xfId="0" applyFont="1" applyFill="1" applyBorder="1" applyAlignment="1">
      <alignment/>
    </xf>
    <xf numFmtId="0" fontId="41" fillId="14" borderId="10" xfId="0" applyFont="1" applyFill="1" applyBorder="1" applyAlignment="1">
      <alignment/>
    </xf>
    <xf numFmtId="176" fontId="0" fillId="14" borderId="10" xfId="0" applyNumberFormat="1" applyFont="1" applyFill="1" applyBorder="1" applyAlignment="1">
      <alignment/>
    </xf>
    <xf numFmtId="0" fontId="41" fillId="14" borderId="10" xfId="0" applyFont="1" applyFill="1" applyBorder="1" applyAlignment="1">
      <alignment horizontal="center"/>
    </xf>
    <xf numFmtId="176" fontId="0" fillId="14" borderId="10" xfId="0" applyNumberFormat="1" applyFill="1" applyBorder="1" applyAlignment="1">
      <alignment/>
    </xf>
    <xf numFmtId="1" fontId="0" fillId="14" borderId="10" xfId="0" applyNumberFormat="1" applyFill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Fill="1" applyBorder="1" applyAlignment="1">
      <alignment/>
    </xf>
    <xf numFmtId="176" fontId="0" fillId="0" borderId="0" xfId="48" applyNumberFormat="1" applyFont="1" applyFill="1" applyBorder="1" applyAlignment="1">
      <alignment horizontal="center"/>
    </xf>
    <xf numFmtId="0" fontId="0" fillId="11" borderId="20" xfId="0" applyFill="1" applyBorder="1" applyAlignment="1">
      <alignment/>
    </xf>
    <xf numFmtId="176" fontId="0" fillId="11" borderId="21" xfId="48" applyNumberFormat="1" applyFont="1" applyFill="1" applyBorder="1" applyAlignment="1">
      <alignment/>
    </xf>
    <xf numFmtId="176" fontId="0" fillId="11" borderId="22" xfId="48" applyNumberFormat="1" applyFont="1" applyFill="1" applyBorder="1" applyAlignment="1">
      <alignment/>
    </xf>
    <xf numFmtId="0" fontId="0" fillId="11" borderId="23" xfId="0" applyFill="1" applyBorder="1" applyAlignment="1">
      <alignment/>
    </xf>
    <xf numFmtId="176" fontId="0" fillId="11" borderId="15" xfId="48" applyNumberFormat="1" applyFont="1" applyFill="1" applyBorder="1" applyAlignment="1">
      <alignment/>
    </xf>
    <xf numFmtId="176" fontId="0" fillId="11" borderId="24" xfId="48" applyNumberFormat="1" applyFont="1" applyFill="1" applyBorder="1" applyAlignment="1">
      <alignment/>
    </xf>
    <xf numFmtId="9" fontId="0" fillId="11" borderId="15" xfId="54" applyFont="1" applyFill="1" applyBorder="1" applyAlignment="1">
      <alignment horizontal="center"/>
    </xf>
    <xf numFmtId="176" fontId="0" fillId="11" borderId="25" xfId="48" applyNumberFormat="1" applyFont="1" applyFill="1" applyBorder="1" applyAlignment="1">
      <alignment/>
    </xf>
    <xf numFmtId="176" fontId="0" fillId="11" borderId="15" xfId="48" applyNumberFormat="1" applyFont="1" applyFill="1" applyBorder="1" applyAlignment="1">
      <alignment horizontal="center"/>
    </xf>
    <xf numFmtId="0" fontId="0" fillId="11" borderId="15" xfId="0" applyFill="1" applyBorder="1" applyAlignment="1">
      <alignment/>
    </xf>
    <xf numFmtId="0" fontId="42" fillId="6" borderId="15" xfId="0" applyFont="1" applyFill="1" applyBorder="1" applyAlignment="1">
      <alignment/>
    </xf>
    <xf numFmtId="0" fontId="42" fillId="6" borderId="18" xfId="0" applyFont="1" applyFill="1" applyBorder="1" applyAlignment="1">
      <alignment/>
    </xf>
    <xf numFmtId="0" fontId="42" fillId="6" borderId="10" xfId="0" applyFont="1" applyFill="1" applyBorder="1" applyAlignment="1">
      <alignment/>
    </xf>
    <xf numFmtId="0" fontId="42" fillId="35" borderId="15" xfId="0" applyFont="1" applyFill="1" applyBorder="1" applyAlignment="1">
      <alignment horizontal="center"/>
    </xf>
    <xf numFmtId="176" fontId="0" fillId="14" borderId="0" xfId="0" applyNumberFormat="1" applyFill="1" applyAlignment="1">
      <alignment/>
    </xf>
    <xf numFmtId="0" fontId="39" fillId="34" borderId="6" xfId="59" applyFill="1" applyAlignment="1">
      <alignment horizontal="center"/>
    </xf>
    <xf numFmtId="0" fontId="38" fillId="34" borderId="0" xfId="58" applyFill="1" applyAlignment="1">
      <alignment horizontal="center"/>
    </xf>
    <xf numFmtId="0" fontId="41" fillId="0" borderId="26" xfId="0" applyFont="1" applyFill="1" applyBorder="1" applyAlignment="1">
      <alignment horizontal="center"/>
    </xf>
    <xf numFmtId="0" fontId="43" fillId="0" borderId="0" xfId="58" applyFont="1" applyFill="1" applyAlignment="1">
      <alignment horizontal="center"/>
    </xf>
    <xf numFmtId="0" fontId="44" fillId="34" borderId="0" xfId="58" applyFont="1" applyFill="1" applyAlignment="1">
      <alignment horizontal="center"/>
    </xf>
    <xf numFmtId="0" fontId="45" fillId="0" borderId="0" xfId="0" applyFont="1" applyAlignment="1">
      <alignment horizontal="center"/>
    </xf>
    <xf numFmtId="0" fontId="45" fillId="0" borderId="27" xfId="0" applyFont="1" applyBorder="1" applyAlignment="1">
      <alignment horizontal="center"/>
    </xf>
    <xf numFmtId="0" fontId="45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1">
      <selection activeCell="B32" sqref="B32"/>
    </sheetView>
  </sheetViews>
  <sheetFormatPr defaultColWidth="11.421875" defaultRowHeight="15"/>
  <cols>
    <col min="1" max="1" width="26.00390625" style="0" customWidth="1"/>
    <col min="2" max="2" width="14.140625" style="0" customWidth="1"/>
    <col min="3" max="3" width="15.421875" style="0" customWidth="1"/>
    <col min="5" max="5" width="17.57421875" style="0" customWidth="1"/>
    <col min="6" max="6" width="14.421875" style="0" customWidth="1"/>
  </cols>
  <sheetData>
    <row r="1" spans="1:16" ht="15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ht="1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4" spans="1:12" ht="15">
      <c r="A4" s="1"/>
      <c r="B4" s="23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</row>
    <row r="5" spans="1:12" ht="15">
      <c r="A5" s="4" t="s">
        <v>24</v>
      </c>
      <c r="B5" s="70">
        <v>-600000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s="4" t="s">
        <v>23</v>
      </c>
      <c r="B6" s="5"/>
      <c r="C6" s="1"/>
      <c r="D6" s="1"/>
      <c r="E6" s="1"/>
      <c r="F6" s="1"/>
      <c r="G6" s="1"/>
      <c r="H6" s="1"/>
      <c r="I6" s="1"/>
      <c r="J6" s="1"/>
      <c r="K6" s="1"/>
      <c r="L6" s="1">
        <v>60000</v>
      </c>
    </row>
    <row r="7" spans="1:12" ht="15">
      <c r="A7" s="1"/>
      <c r="B7" s="5"/>
      <c r="C7" s="1">
        <v>1000</v>
      </c>
      <c r="D7" s="1">
        <v>1000</v>
      </c>
      <c r="E7" s="1">
        <v>1000</v>
      </c>
      <c r="F7" s="1">
        <v>1000</v>
      </c>
      <c r="G7" s="1">
        <v>1000</v>
      </c>
      <c r="H7" s="1">
        <v>1000</v>
      </c>
      <c r="I7" s="1">
        <v>1000</v>
      </c>
      <c r="J7" s="1">
        <v>1000</v>
      </c>
      <c r="K7" s="1">
        <v>1000</v>
      </c>
      <c r="L7" s="1">
        <v>1000</v>
      </c>
    </row>
    <row r="8" spans="1:12" ht="15">
      <c r="A8" s="1"/>
      <c r="B8" s="5"/>
      <c r="C8" s="1">
        <v>500</v>
      </c>
      <c r="D8" s="1">
        <v>500</v>
      </c>
      <c r="E8" s="1">
        <v>500</v>
      </c>
      <c r="F8" s="1">
        <v>500</v>
      </c>
      <c r="G8" s="1">
        <v>500</v>
      </c>
      <c r="H8" s="1">
        <v>500</v>
      </c>
      <c r="I8" s="1">
        <v>500</v>
      </c>
      <c r="J8" s="1">
        <v>500</v>
      </c>
      <c r="K8" s="1">
        <v>500</v>
      </c>
      <c r="L8" s="1">
        <v>500</v>
      </c>
    </row>
    <row r="9" spans="1:12" ht="15.75" thickBot="1">
      <c r="A9" s="4" t="s">
        <v>1</v>
      </c>
      <c r="B9" s="8"/>
      <c r="C9" s="9">
        <f>C7*C8</f>
        <v>500000</v>
      </c>
      <c r="D9" s="9">
        <f aca="true" t="shared" si="0" ref="D9:L9">D7*D8</f>
        <v>500000</v>
      </c>
      <c r="E9" s="9">
        <f t="shared" si="0"/>
        <v>500000</v>
      </c>
      <c r="F9" s="9">
        <f t="shared" si="0"/>
        <v>500000</v>
      </c>
      <c r="G9" s="9">
        <f t="shared" si="0"/>
        <v>500000</v>
      </c>
      <c r="H9" s="9">
        <f t="shared" si="0"/>
        <v>500000</v>
      </c>
      <c r="I9" s="9">
        <f t="shared" si="0"/>
        <v>500000</v>
      </c>
      <c r="J9" s="9">
        <f t="shared" si="0"/>
        <v>500000</v>
      </c>
      <c r="K9" s="9">
        <f t="shared" si="0"/>
        <v>500000</v>
      </c>
      <c r="L9" s="9">
        <f t="shared" si="0"/>
        <v>500000</v>
      </c>
    </row>
    <row r="10" spans="1:12" ht="15.75" thickTop="1">
      <c r="A10" s="4" t="s">
        <v>2</v>
      </c>
      <c r="B10" s="5"/>
      <c r="C10" s="3">
        <f>C7*150/2</f>
        <v>75000</v>
      </c>
      <c r="D10" s="3">
        <f aca="true" t="shared" si="1" ref="D10:L10">D7*150/2</f>
        <v>75000</v>
      </c>
      <c r="E10" s="3">
        <f t="shared" si="1"/>
        <v>75000</v>
      </c>
      <c r="F10" s="3">
        <f t="shared" si="1"/>
        <v>75000</v>
      </c>
      <c r="G10" s="3">
        <f t="shared" si="1"/>
        <v>75000</v>
      </c>
      <c r="H10" s="3">
        <f t="shared" si="1"/>
        <v>75000</v>
      </c>
      <c r="I10" s="3">
        <f t="shared" si="1"/>
        <v>75000</v>
      </c>
      <c r="J10" s="3">
        <f t="shared" si="1"/>
        <v>75000</v>
      </c>
      <c r="K10" s="3">
        <f t="shared" si="1"/>
        <v>75000</v>
      </c>
      <c r="L10" s="3">
        <f t="shared" si="1"/>
        <v>75000</v>
      </c>
    </row>
    <row r="11" spans="1:12" ht="15">
      <c r="A11" s="4" t="s">
        <v>3</v>
      </c>
      <c r="B11" s="5"/>
      <c r="C11" s="3">
        <f>200*C7/2</f>
        <v>100000</v>
      </c>
      <c r="D11" s="3">
        <f aca="true" t="shared" si="2" ref="D11:L11">200*D7/2</f>
        <v>100000</v>
      </c>
      <c r="E11" s="3">
        <f t="shared" si="2"/>
        <v>100000</v>
      </c>
      <c r="F11" s="3">
        <f t="shared" si="2"/>
        <v>100000</v>
      </c>
      <c r="G11" s="3">
        <f t="shared" si="2"/>
        <v>100000</v>
      </c>
      <c r="H11" s="3">
        <f t="shared" si="2"/>
        <v>100000</v>
      </c>
      <c r="I11" s="3">
        <f t="shared" si="2"/>
        <v>100000</v>
      </c>
      <c r="J11" s="3">
        <f t="shared" si="2"/>
        <v>100000</v>
      </c>
      <c r="K11" s="3">
        <f t="shared" si="2"/>
        <v>100000</v>
      </c>
      <c r="L11" s="3">
        <f t="shared" si="2"/>
        <v>100000</v>
      </c>
    </row>
    <row r="12" spans="1:12" ht="15">
      <c r="A12" s="4" t="s">
        <v>4</v>
      </c>
      <c r="B12" s="5"/>
      <c r="C12" s="1">
        <f>25*C7</f>
        <v>25000</v>
      </c>
      <c r="D12" s="1">
        <f aca="true" t="shared" si="3" ref="D12:L12">25*D7</f>
        <v>25000</v>
      </c>
      <c r="E12" s="1">
        <f t="shared" si="3"/>
        <v>25000</v>
      </c>
      <c r="F12" s="1">
        <f t="shared" si="3"/>
        <v>25000</v>
      </c>
      <c r="G12" s="1">
        <f t="shared" si="3"/>
        <v>25000</v>
      </c>
      <c r="H12" s="1">
        <f t="shared" si="3"/>
        <v>25000</v>
      </c>
      <c r="I12" s="1">
        <f t="shared" si="3"/>
        <v>25000</v>
      </c>
      <c r="J12" s="1">
        <f t="shared" si="3"/>
        <v>25000</v>
      </c>
      <c r="K12" s="1">
        <f t="shared" si="3"/>
        <v>25000</v>
      </c>
      <c r="L12" s="1">
        <f t="shared" si="3"/>
        <v>25000</v>
      </c>
    </row>
    <row r="13" spans="1:12" ht="15">
      <c r="A13" s="4" t="s">
        <v>5</v>
      </c>
      <c r="B13" s="5"/>
      <c r="C13" s="1">
        <f>5000*13</f>
        <v>65000</v>
      </c>
      <c r="D13" s="1">
        <f aca="true" t="shared" si="4" ref="D13:L13">5000*13</f>
        <v>65000</v>
      </c>
      <c r="E13" s="1">
        <f t="shared" si="4"/>
        <v>65000</v>
      </c>
      <c r="F13" s="1">
        <f t="shared" si="4"/>
        <v>65000</v>
      </c>
      <c r="G13" s="1">
        <f t="shared" si="4"/>
        <v>65000</v>
      </c>
      <c r="H13" s="1">
        <f t="shared" si="4"/>
        <v>65000</v>
      </c>
      <c r="I13" s="1">
        <f t="shared" si="4"/>
        <v>65000</v>
      </c>
      <c r="J13" s="1">
        <f t="shared" si="4"/>
        <v>65000</v>
      </c>
      <c r="K13" s="1">
        <f t="shared" si="4"/>
        <v>65000</v>
      </c>
      <c r="L13" s="1">
        <f t="shared" si="4"/>
        <v>65000</v>
      </c>
    </row>
    <row r="14" spans="1:12" ht="15">
      <c r="A14" s="4" t="s">
        <v>6</v>
      </c>
      <c r="B14" s="5"/>
      <c r="C14" s="1">
        <f>600000*5%</f>
        <v>30000</v>
      </c>
      <c r="D14" s="1">
        <f aca="true" t="shared" si="5" ref="D14:L14">600000*5%</f>
        <v>30000</v>
      </c>
      <c r="E14" s="1">
        <f t="shared" si="5"/>
        <v>30000</v>
      </c>
      <c r="F14" s="1">
        <f t="shared" si="5"/>
        <v>30000</v>
      </c>
      <c r="G14" s="1">
        <f t="shared" si="5"/>
        <v>30000</v>
      </c>
      <c r="H14" s="1">
        <f t="shared" si="5"/>
        <v>30000</v>
      </c>
      <c r="I14" s="1">
        <f t="shared" si="5"/>
        <v>30000</v>
      </c>
      <c r="J14" s="1">
        <f t="shared" si="5"/>
        <v>30000</v>
      </c>
      <c r="K14" s="1">
        <f t="shared" si="5"/>
        <v>30000</v>
      </c>
      <c r="L14" s="1">
        <f t="shared" si="5"/>
        <v>30000</v>
      </c>
    </row>
    <row r="15" spans="1:12" ht="15">
      <c r="A15" s="4" t="s">
        <v>7</v>
      </c>
      <c r="B15" s="5"/>
      <c r="C15">
        <f>30000*2</f>
        <v>60000</v>
      </c>
      <c r="D15">
        <f aca="true" t="shared" si="6" ref="D15:L15">30000*2</f>
        <v>60000</v>
      </c>
      <c r="E15">
        <f t="shared" si="6"/>
        <v>60000</v>
      </c>
      <c r="F15">
        <f t="shared" si="6"/>
        <v>60000</v>
      </c>
      <c r="G15">
        <f t="shared" si="6"/>
        <v>60000</v>
      </c>
      <c r="H15">
        <f t="shared" si="6"/>
        <v>60000</v>
      </c>
      <c r="I15">
        <f t="shared" si="6"/>
        <v>60000</v>
      </c>
      <c r="J15">
        <f t="shared" si="6"/>
        <v>60000</v>
      </c>
      <c r="K15">
        <f t="shared" si="6"/>
        <v>60000</v>
      </c>
      <c r="L15">
        <f t="shared" si="6"/>
        <v>60000</v>
      </c>
    </row>
    <row r="16" spans="1:12" ht="15">
      <c r="A16" s="11" t="s">
        <v>8</v>
      </c>
      <c r="B16" s="5"/>
      <c r="C16" s="1">
        <f>(53000-50000)*12</f>
        <v>36000</v>
      </c>
      <c r="D16" s="1">
        <f aca="true" t="shared" si="7" ref="D16:L16">(53000-50000)*12</f>
        <v>36000</v>
      </c>
      <c r="E16" s="1">
        <f t="shared" si="7"/>
        <v>36000</v>
      </c>
      <c r="F16" s="1">
        <f t="shared" si="7"/>
        <v>36000</v>
      </c>
      <c r="G16" s="1">
        <f t="shared" si="7"/>
        <v>36000</v>
      </c>
      <c r="H16" s="1">
        <f t="shared" si="7"/>
        <v>36000</v>
      </c>
      <c r="I16" s="1">
        <f t="shared" si="7"/>
        <v>36000</v>
      </c>
      <c r="J16" s="1">
        <f t="shared" si="7"/>
        <v>36000</v>
      </c>
      <c r="K16" s="1">
        <f t="shared" si="7"/>
        <v>36000</v>
      </c>
      <c r="L16" s="1">
        <f t="shared" si="7"/>
        <v>36000</v>
      </c>
    </row>
    <row r="17" spans="1:12" ht="15">
      <c r="A17" s="11" t="s">
        <v>9</v>
      </c>
      <c r="B17" s="5"/>
      <c r="C17" s="1">
        <f>(600000-L5)/10</f>
        <v>60000</v>
      </c>
      <c r="D17" s="1">
        <v>54000</v>
      </c>
      <c r="E17" s="1">
        <v>54000</v>
      </c>
      <c r="F17" s="1">
        <v>54000</v>
      </c>
      <c r="G17" s="1">
        <v>54000</v>
      </c>
      <c r="H17" s="1">
        <v>54000</v>
      </c>
      <c r="I17" s="1">
        <v>54000</v>
      </c>
      <c r="J17" s="1">
        <v>54000</v>
      </c>
      <c r="K17" s="1">
        <v>54000</v>
      </c>
      <c r="L17" s="1">
        <v>54000</v>
      </c>
    </row>
    <row r="18" spans="1:12" ht="15.75" thickBot="1">
      <c r="A18" s="11" t="s">
        <v>11</v>
      </c>
      <c r="B18" s="8"/>
      <c r="C18" s="9">
        <f>SUM(C10:C17)</f>
        <v>451000</v>
      </c>
      <c r="D18" s="9">
        <f aca="true" t="shared" si="8" ref="D18:L18">SUM(D10:D17)</f>
        <v>445000</v>
      </c>
      <c r="E18" s="9">
        <f t="shared" si="8"/>
        <v>445000</v>
      </c>
      <c r="F18" s="9">
        <f t="shared" si="8"/>
        <v>445000</v>
      </c>
      <c r="G18" s="9">
        <f t="shared" si="8"/>
        <v>445000</v>
      </c>
      <c r="H18" s="9">
        <f t="shared" si="8"/>
        <v>445000</v>
      </c>
      <c r="I18" s="9">
        <f t="shared" si="8"/>
        <v>445000</v>
      </c>
      <c r="J18" s="9">
        <f t="shared" si="8"/>
        <v>445000</v>
      </c>
      <c r="K18" s="9">
        <f t="shared" si="8"/>
        <v>445000</v>
      </c>
      <c r="L18" s="9">
        <f t="shared" si="8"/>
        <v>445000</v>
      </c>
    </row>
    <row r="19" spans="1:12" ht="15.75" thickTop="1">
      <c r="A19" s="4" t="s">
        <v>10</v>
      </c>
      <c r="B19" s="5"/>
      <c r="C19" s="6">
        <f>C9-C18</f>
        <v>49000</v>
      </c>
      <c r="D19" s="6">
        <f aca="true" t="shared" si="9" ref="D19:K19">D9-D18</f>
        <v>55000</v>
      </c>
      <c r="E19" s="6">
        <f t="shared" si="9"/>
        <v>55000</v>
      </c>
      <c r="F19" s="6">
        <f t="shared" si="9"/>
        <v>55000</v>
      </c>
      <c r="G19" s="6">
        <f t="shared" si="9"/>
        <v>55000</v>
      </c>
      <c r="H19" s="6">
        <f t="shared" si="9"/>
        <v>55000</v>
      </c>
      <c r="I19" s="6">
        <f t="shared" si="9"/>
        <v>55000</v>
      </c>
      <c r="J19" s="6">
        <f t="shared" si="9"/>
        <v>55000</v>
      </c>
      <c r="K19" s="6">
        <f t="shared" si="9"/>
        <v>55000</v>
      </c>
      <c r="L19" s="6">
        <f>C19-C20+L5</f>
        <v>31850</v>
      </c>
    </row>
    <row r="20" spans="1:12" ht="15">
      <c r="A20" s="4" t="s">
        <v>12</v>
      </c>
      <c r="B20" s="5"/>
      <c r="C20" s="7">
        <f>C19*35%</f>
        <v>17150</v>
      </c>
      <c r="D20" s="7">
        <f aca="true" t="shared" si="10" ref="D20:K20">D19*35%</f>
        <v>19250</v>
      </c>
      <c r="E20" s="7">
        <f t="shared" si="10"/>
        <v>19250</v>
      </c>
      <c r="F20" s="7">
        <f t="shared" si="10"/>
        <v>19250</v>
      </c>
      <c r="G20" s="7">
        <f t="shared" si="10"/>
        <v>19250</v>
      </c>
      <c r="H20" s="7">
        <f t="shared" si="10"/>
        <v>19250</v>
      </c>
      <c r="I20" s="7">
        <f t="shared" si="10"/>
        <v>19250</v>
      </c>
      <c r="J20" s="7">
        <f t="shared" si="10"/>
        <v>19250</v>
      </c>
      <c r="K20" s="7">
        <f t="shared" si="10"/>
        <v>19250</v>
      </c>
      <c r="L20" s="6">
        <f>L19*35%</f>
        <v>11147.5</v>
      </c>
    </row>
    <row r="21" spans="1:12" ht="15">
      <c r="A21" s="4" t="s">
        <v>16</v>
      </c>
      <c r="B21" s="5"/>
      <c r="C21" s="7">
        <f>C19-C20</f>
        <v>31850</v>
      </c>
      <c r="D21" s="7">
        <f aca="true" t="shared" si="11" ref="D21:K21">D19-D20</f>
        <v>35750</v>
      </c>
      <c r="E21" s="7">
        <f t="shared" si="11"/>
        <v>35750</v>
      </c>
      <c r="F21" s="7">
        <f t="shared" si="11"/>
        <v>35750</v>
      </c>
      <c r="G21" s="7">
        <f t="shared" si="11"/>
        <v>35750</v>
      </c>
      <c r="H21" s="7">
        <f t="shared" si="11"/>
        <v>35750</v>
      </c>
      <c r="I21" s="7">
        <f t="shared" si="11"/>
        <v>35750</v>
      </c>
      <c r="J21" s="7">
        <f t="shared" si="11"/>
        <v>35750</v>
      </c>
      <c r="K21" s="7">
        <f t="shared" si="11"/>
        <v>35750</v>
      </c>
      <c r="L21" s="7">
        <f>(L22+K19)*35%-K19</f>
        <v>-35750</v>
      </c>
    </row>
    <row r="22" spans="1:12" ht="15">
      <c r="A22" s="4"/>
      <c r="B22" s="5"/>
      <c r="C22" s="1"/>
      <c r="D22" s="1"/>
      <c r="E22" s="1"/>
      <c r="F22" s="1"/>
      <c r="G22" s="1"/>
      <c r="H22" s="1"/>
      <c r="I22" s="1"/>
      <c r="J22" s="1"/>
      <c r="K22" s="1"/>
      <c r="L22" s="1"/>
    </row>
    <row r="24" spans="1:9" ht="20.25" thickBot="1">
      <c r="A24" s="105" t="s">
        <v>13</v>
      </c>
      <c r="B24" s="105"/>
      <c r="C24" s="105"/>
      <c r="D24" s="105"/>
      <c r="F24" s="105" t="s">
        <v>20</v>
      </c>
      <c r="G24" s="105"/>
      <c r="H24" s="105"/>
      <c r="I24" s="105"/>
    </row>
    <row r="25" ht="15.75" thickTop="1"/>
    <row r="26" spans="1:7" ht="15">
      <c r="A26" s="4" t="s">
        <v>2</v>
      </c>
      <c r="B26" s="16">
        <f>75000/360</f>
        <v>208.33333333333334</v>
      </c>
      <c r="C26" s="1">
        <v>75000</v>
      </c>
      <c r="D26" s="1"/>
      <c r="F26" s="4" t="s">
        <v>2</v>
      </c>
      <c r="G26" s="1">
        <f>(C26*15)/360</f>
        <v>3125</v>
      </c>
    </row>
    <row r="27" spans="1:10" ht="15">
      <c r="A27" s="4" t="s">
        <v>3</v>
      </c>
      <c r="B27" s="16">
        <f>(100000*15)/360</f>
        <v>4166.666666666667</v>
      </c>
      <c r="C27" s="1">
        <v>100000</v>
      </c>
      <c r="D27" s="1"/>
      <c r="F27" s="4" t="s">
        <v>3</v>
      </c>
      <c r="G27" s="10">
        <f>(200000*15)/360</f>
        <v>8333.333333333334</v>
      </c>
      <c r="I27" s="14" t="s">
        <v>21</v>
      </c>
      <c r="J27" s="15">
        <f>B31+B32-G30</f>
        <v>76875</v>
      </c>
    </row>
    <row r="28" spans="1:7" ht="15">
      <c r="A28" s="4" t="s">
        <v>7</v>
      </c>
      <c r="B28" s="13">
        <f>30000</f>
        <v>30000</v>
      </c>
      <c r="C28" s="1">
        <v>25000</v>
      </c>
      <c r="D28" s="1" t="s">
        <v>4</v>
      </c>
      <c r="F28" s="4" t="s">
        <v>7</v>
      </c>
      <c r="G28" s="1">
        <f>(B28*90)/360*2</f>
        <v>15000</v>
      </c>
    </row>
    <row r="29" spans="1:7" ht="15.75" thickBot="1">
      <c r="A29" s="11" t="s">
        <v>14</v>
      </c>
      <c r="B29" s="13">
        <v>20000</v>
      </c>
      <c r="C29" s="1"/>
      <c r="D29" s="1"/>
      <c r="F29" s="20" t="s">
        <v>4</v>
      </c>
      <c r="G29" s="21">
        <f>(C28*15)/360</f>
        <v>1041.6666666666667</v>
      </c>
    </row>
    <row r="30" spans="1:7" ht="15.75" thickTop="1">
      <c r="A30" s="11" t="s">
        <v>15</v>
      </c>
      <c r="B30" s="17">
        <f>(C26+C27+C28)*15/360</f>
        <v>8333.333333333334</v>
      </c>
      <c r="C30" s="1"/>
      <c r="D30" s="1"/>
      <c r="F30" s="11" t="s">
        <v>17</v>
      </c>
      <c r="G30" s="1">
        <f>SUM(G26:G29)</f>
        <v>27500.000000000004</v>
      </c>
    </row>
    <row r="31" spans="1:4" ht="15">
      <c r="A31" s="12" t="s">
        <v>18</v>
      </c>
      <c r="B31" s="18">
        <f>B26+B27+B28+B29+B30</f>
        <v>62708.333333333336</v>
      </c>
      <c r="C31" s="1"/>
      <c r="D31" s="1"/>
    </row>
    <row r="32" spans="1:4" ht="15">
      <c r="A32" s="19" t="s">
        <v>19</v>
      </c>
      <c r="B32" s="15">
        <f>C9*30/360</f>
        <v>41666.666666666664</v>
      </c>
      <c r="C32" s="1"/>
      <c r="D32" s="1"/>
    </row>
    <row r="34" spans="2:12" ht="15">
      <c r="B34" s="2">
        <v>0</v>
      </c>
      <c r="C34" s="2">
        <v>1</v>
      </c>
      <c r="D34" s="2">
        <v>2</v>
      </c>
      <c r="E34" s="2">
        <v>3</v>
      </c>
      <c r="F34" s="2">
        <v>4</v>
      </c>
      <c r="G34" s="2">
        <v>5</v>
      </c>
      <c r="H34" s="2">
        <v>6</v>
      </c>
      <c r="I34" s="2">
        <v>7</v>
      </c>
      <c r="J34" s="2">
        <v>8</v>
      </c>
      <c r="K34" s="2">
        <v>9</v>
      </c>
      <c r="L34" s="2">
        <v>10</v>
      </c>
    </row>
    <row r="35" spans="2:12" ht="15">
      <c r="B35" s="1"/>
      <c r="C35" s="6">
        <f>C21</f>
        <v>31850</v>
      </c>
      <c r="D35" s="6">
        <f aca="true" t="shared" si="12" ref="D35:K35">D21</f>
        <v>35750</v>
      </c>
      <c r="E35" s="6">
        <f t="shared" si="12"/>
        <v>35750</v>
      </c>
      <c r="F35" s="6">
        <f t="shared" si="12"/>
        <v>35750</v>
      </c>
      <c r="G35" s="6">
        <f t="shared" si="12"/>
        <v>35750</v>
      </c>
      <c r="H35" s="6">
        <f t="shared" si="12"/>
        <v>35750</v>
      </c>
      <c r="I35" s="6">
        <f t="shared" si="12"/>
        <v>35750</v>
      </c>
      <c r="J35" s="6">
        <f t="shared" si="12"/>
        <v>35750</v>
      </c>
      <c r="K35" s="6">
        <f t="shared" si="12"/>
        <v>35750</v>
      </c>
      <c r="L35" s="6">
        <v>14750</v>
      </c>
    </row>
    <row r="36" spans="2:12" ht="15">
      <c r="B36" s="1"/>
      <c r="C36" s="6">
        <f>J27</f>
        <v>76875</v>
      </c>
      <c r="D36" s="6">
        <v>76875</v>
      </c>
      <c r="E36" s="6">
        <v>76875</v>
      </c>
      <c r="F36" s="6">
        <v>76875</v>
      </c>
      <c r="G36" s="6">
        <v>76875</v>
      </c>
      <c r="H36" s="6">
        <v>76875</v>
      </c>
      <c r="I36" s="6">
        <v>76875</v>
      </c>
      <c r="J36" s="6">
        <v>76875</v>
      </c>
      <c r="K36" s="6">
        <v>76875</v>
      </c>
      <c r="L36" s="1">
        <v>0</v>
      </c>
    </row>
    <row r="37" spans="2:12" ht="15">
      <c r="B37" s="1"/>
      <c r="C37" s="6">
        <f>-J27</f>
        <v>-76875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</row>
    <row r="38" ht="15">
      <c r="B38" s="22" t="s">
        <v>22</v>
      </c>
    </row>
    <row r="39" spans="2:12" ht="15">
      <c r="B39" s="1">
        <v>-600000</v>
      </c>
      <c r="C39" s="6">
        <f>D35-C36+D17</f>
        <v>12875</v>
      </c>
      <c r="D39" s="6">
        <f>D36+C39</f>
        <v>89750</v>
      </c>
      <c r="E39" s="6">
        <f>+$D$36+$C$39</f>
        <v>89750</v>
      </c>
      <c r="F39" s="6">
        <f aca="true" t="shared" si="13" ref="F39:K39">+$D$36+$C$39</f>
        <v>89750</v>
      </c>
      <c r="G39" s="6">
        <f t="shared" si="13"/>
        <v>89750</v>
      </c>
      <c r="H39" s="6">
        <f t="shared" si="13"/>
        <v>89750</v>
      </c>
      <c r="I39" s="6">
        <f t="shared" si="13"/>
        <v>89750</v>
      </c>
      <c r="J39" s="6">
        <f t="shared" si="13"/>
        <v>89750</v>
      </c>
      <c r="K39" s="6">
        <f t="shared" si="13"/>
        <v>89750</v>
      </c>
      <c r="L39" s="6">
        <f>L35+L6+L17+K36</f>
        <v>205625</v>
      </c>
    </row>
    <row r="41" spans="2:3" ht="15">
      <c r="B41" s="24" t="s">
        <v>25</v>
      </c>
      <c r="C41" s="27">
        <f>C45/C46</f>
        <v>1.1215765935466557</v>
      </c>
    </row>
    <row r="42" spans="2:8" ht="15">
      <c r="B42" s="24" t="s">
        <v>26</v>
      </c>
      <c r="C42" s="35">
        <f>IRR(B39:L39)</f>
        <v>0.07523311890491453</v>
      </c>
      <c r="E42" s="34">
        <f>IRR(B39:L39)</f>
        <v>0.07523311890491453</v>
      </c>
      <c r="G42" s="1" t="s">
        <v>29</v>
      </c>
      <c r="H42" s="25">
        <v>0.0709</v>
      </c>
    </row>
    <row r="43" spans="2:3" ht="15">
      <c r="B43" s="24" t="s">
        <v>27</v>
      </c>
      <c r="C43" s="26">
        <f>NPV(H42,C39:L39)+B5</f>
        <v>14378.679314084933</v>
      </c>
    </row>
    <row r="44" spans="2:3" ht="15">
      <c r="B44" s="31" t="s">
        <v>28</v>
      </c>
      <c r="C44" s="31" t="s">
        <v>30</v>
      </c>
    </row>
    <row r="45" spans="2:3" ht="15">
      <c r="B45" s="29" t="s">
        <v>31</v>
      </c>
      <c r="C45" s="30">
        <f>NPV(H42,C9:L9)</f>
        <v>3497227.2825845033</v>
      </c>
    </row>
    <row r="46" spans="2:7" ht="15">
      <c r="B46" s="29" t="s">
        <v>32</v>
      </c>
      <c r="C46" s="30">
        <f>NPV(H42,C18:L18)</f>
        <v>3118135.045530463</v>
      </c>
      <c r="G46" s="34"/>
    </row>
    <row r="48" ht="15">
      <c r="B48" s="28" t="s">
        <v>33</v>
      </c>
    </row>
  </sheetData>
  <sheetProtection/>
  <mergeCells count="3">
    <mergeCell ref="F24:I24"/>
    <mergeCell ref="A1:P2"/>
    <mergeCell ref="A24:D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1">
      <selection activeCell="D40" sqref="D40"/>
    </sheetView>
  </sheetViews>
  <sheetFormatPr defaultColWidth="11.421875" defaultRowHeight="15"/>
  <cols>
    <col min="1" max="1" width="25.421875" style="0" customWidth="1"/>
    <col min="2" max="2" width="18.00390625" style="0" customWidth="1"/>
    <col min="3" max="3" width="14.57421875" style="0" customWidth="1"/>
    <col min="4" max="4" width="14.140625" style="0" customWidth="1"/>
    <col min="5" max="5" width="13.7109375" style="0" customWidth="1"/>
    <col min="6" max="6" width="14.8515625" style="0" customWidth="1"/>
    <col min="7" max="7" width="17.00390625" style="0" customWidth="1"/>
    <col min="8" max="8" width="16.00390625" style="0" customWidth="1"/>
    <col min="9" max="9" width="14.8515625" style="0" customWidth="1"/>
    <col min="10" max="10" width="13.00390625" style="0" customWidth="1"/>
    <col min="11" max="11" width="12.7109375" style="0" customWidth="1"/>
    <col min="12" max="12" width="14.28125" style="0" customWidth="1"/>
  </cols>
  <sheetData>
    <row r="1" spans="1:16" ht="15">
      <c r="A1" s="109" t="s">
        <v>34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ht="1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s="33" customFormat="1" ht="15" customHeight="1">
      <c r="A3" s="108" t="s">
        <v>71</v>
      </c>
      <c r="B3" s="108"/>
      <c r="C3" s="108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3" ht="15.75" thickBot="1">
      <c r="A4" s="90" t="s">
        <v>37</v>
      </c>
      <c r="B4" s="91">
        <v>250000</v>
      </c>
      <c r="C4" s="92"/>
    </row>
    <row r="5" spans="1:3" ht="16.5" thickBot="1" thickTop="1">
      <c r="A5" s="93" t="s">
        <v>38</v>
      </c>
      <c r="B5" s="94">
        <v>500</v>
      </c>
      <c r="C5" s="95"/>
    </row>
    <row r="6" spans="1:3" ht="16.5" thickBot="1" thickTop="1">
      <c r="A6" s="93" t="s">
        <v>39</v>
      </c>
      <c r="B6" s="94">
        <v>700</v>
      </c>
      <c r="C6" s="95" t="s">
        <v>40</v>
      </c>
    </row>
    <row r="7" spans="1:3" ht="16.5" thickBot="1" thickTop="1">
      <c r="A7" s="93"/>
      <c r="B7" s="94">
        <v>900</v>
      </c>
      <c r="C7" s="95" t="s">
        <v>41</v>
      </c>
    </row>
    <row r="8" spans="1:3" ht="16.5" thickBot="1" thickTop="1">
      <c r="A8" s="93" t="s">
        <v>42</v>
      </c>
      <c r="B8" s="96">
        <v>0.04</v>
      </c>
      <c r="C8" s="97">
        <f>B4*B8</f>
        <v>10000</v>
      </c>
    </row>
    <row r="9" spans="1:5" ht="16.5" thickBot="1" thickTop="1">
      <c r="A9" s="93" t="s">
        <v>43</v>
      </c>
      <c r="B9" s="98">
        <v>10000</v>
      </c>
      <c r="C9" s="95"/>
      <c r="D9" s="47"/>
      <c r="E9" s="88"/>
    </row>
    <row r="10" spans="1:5" ht="16.5" thickBot="1" thickTop="1">
      <c r="A10" s="93" t="s">
        <v>44</v>
      </c>
      <c r="B10" s="98">
        <v>6000</v>
      </c>
      <c r="C10" s="97">
        <f>B10*12</f>
        <v>72000</v>
      </c>
      <c r="D10" s="47"/>
      <c r="E10" s="88"/>
    </row>
    <row r="11" spans="1:5" ht="16.5" thickBot="1" thickTop="1">
      <c r="A11" s="93" t="s">
        <v>45</v>
      </c>
      <c r="B11" s="98">
        <v>50</v>
      </c>
      <c r="C11" s="97">
        <f>B11*B6</f>
        <v>35000</v>
      </c>
      <c r="D11" s="47"/>
      <c r="E11" s="47"/>
    </row>
    <row r="12" spans="1:3" ht="16.5" thickBot="1" thickTop="1">
      <c r="A12" s="93"/>
      <c r="B12" s="98">
        <v>50</v>
      </c>
      <c r="C12" s="97">
        <f>B12*B7</f>
        <v>45000</v>
      </c>
    </row>
    <row r="13" spans="1:3" ht="16.5" thickBot="1" thickTop="1">
      <c r="A13" s="93" t="s">
        <v>46</v>
      </c>
      <c r="B13" s="98">
        <v>4</v>
      </c>
      <c r="C13" s="97">
        <v>3000</v>
      </c>
    </row>
    <row r="14" spans="1:5" ht="16.5" thickBot="1" thickTop="1">
      <c r="A14" s="93"/>
      <c r="B14" s="98">
        <v>5</v>
      </c>
      <c r="C14" s="97">
        <v>3000</v>
      </c>
      <c r="D14" s="47"/>
      <c r="E14" s="47"/>
    </row>
    <row r="15" spans="1:5" ht="16.5" thickBot="1" thickTop="1">
      <c r="A15" s="93" t="s">
        <v>48</v>
      </c>
      <c r="B15" s="98">
        <v>200000</v>
      </c>
      <c r="C15" s="95"/>
      <c r="D15" s="47"/>
      <c r="E15" s="47"/>
    </row>
    <row r="16" spans="1:4" ht="16.5" thickBot="1" thickTop="1">
      <c r="A16" s="99" t="s">
        <v>49</v>
      </c>
      <c r="B16" s="98">
        <v>12</v>
      </c>
      <c r="C16" s="99"/>
      <c r="D16" s="37"/>
    </row>
    <row r="17" spans="1:4" ht="15.75" thickTop="1">
      <c r="A17" s="47"/>
      <c r="B17" s="89"/>
      <c r="C17" s="47"/>
      <c r="D17" s="37"/>
    </row>
    <row r="18" ht="15.75" thickBot="1"/>
    <row r="19" spans="1:12" ht="16.5" thickBot="1" thickTop="1">
      <c r="A19" s="103" t="s">
        <v>49</v>
      </c>
      <c r="B19" s="38">
        <v>0</v>
      </c>
      <c r="C19" s="38">
        <v>1</v>
      </c>
      <c r="D19" s="38">
        <v>2</v>
      </c>
      <c r="E19" s="38">
        <v>3</v>
      </c>
      <c r="F19" s="38">
        <v>4</v>
      </c>
      <c r="G19" s="38">
        <v>5</v>
      </c>
      <c r="H19" s="38">
        <v>6</v>
      </c>
      <c r="I19" s="38">
        <v>7</v>
      </c>
      <c r="J19" s="38">
        <v>8</v>
      </c>
      <c r="K19" s="38">
        <v>9</v>
      </c>
      <c r="L19" s="38">
        <v>10</v>
      </c>
    </row>
    <row r="20" spans="1:12" ht="16.5" thickBot="1" thickTop="1">
      <c r="A20" s="100" t="s">
        <v>50</v>
      </c>
      <c r="B20" s="39">
        <v>250000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</row>
    <row r="21" spans="1:12" ht="16.5" thickBot="1" thickTop="1">
      <c r="A21" s="100" t="s">
        <v>36</v>
      </c>
      <c r="B21" s="39"/>
      <c r="C21" s="39">
        <v>700</v>
      </c>
      <c r="D21" s="39">
        <v>700</v>
      </c>
      <c r="E21" s="39">
        <v>700</v>
      </c>
      <c r="F21" s="39">
        <v>900</v>
      </c>
      <c r="G21" s="39">
        <v>900</v>
      </c>
      <c r="H21" s="39">
        <v>900</v>
      </c>
      <c r="I21" s="39">
        <v>900</v>
      </c>
      <c r="J21" s="39">
        <v>900</v>
      </c>
      <c r="K21" s="39">
        <v>900</v>
      </c>
      <c r="L21" s="39">
        <v>900</v>
      </c>
    </row>
    <row r="22" spans="1:12" ht="16.5" thickBot="1" thickTop="1">
      <c r="A22" s="100" t="s">
        <v>35</v>
      </c>
      <c r="B22" s="39"/>
      <c r="C22" s="39">
        <v>500</v>
      </c>
      <c r="D22" s="39">
        <v>500</v>
      </c>
      <c r="E22" s="39">
        <v>500</v>
      </c>
      <c r="F22" s="39">
        <v>500</v>
      </c>
      <c r="G22" s="39">
        <v>500</v>
      </c>
      <c r="H22" s="39">
        <v>500</v>
      </c>
      <c r="I22" s="39">
        <v>500</v>
      </c>
      <c r="J22" s="39">
        <v>500</v>
      </c>
      <c r="K22" s="39">
        <v>500</v>
      </c>
      <c r="L22" s="39">
        <v>500</v>
      </c>
    </row>
    <row r="23" spans="1:12" ht="16.5" thickBot="1" thickTop="1">
      <c r="A23" s="100" t="s">
        <v>51</v>
      </c>
      <c r="B23" s="40"/>
      <c r="C23" s="41">
        <f aca="true" t="shared" si="0" ref="C23:L23">C22*C21</f>
        <v>350000</v>
      </c>
      <c r="D23" s="41">
        <f t="shared" si="0"/>
        <v>350000</v>
      </c>
      <c r="E23" s="41">
        <f t="shared" si="0"/>
        <v>350000</v>
      </c>
      <c r="F23" s="42">
        <f t="shared" si="0"/>
        <v>450000</v>
      </c>
      <c r="G23" s="42">
        <f t="shared" si="0"/>
        <v>450000</v>
      </c>
      <c r="H23" s="42">
        <f t="shared" si="0"/>
        <v>450000</v>
      </c>
      <c r="I23" s="42">
        <f t="shared" si="0"/>
        <v>450000</v>
      </c>
      <c r="J23" s="42">
        <f t="shared" si="0"/>
        <v>450000</v>
      </c>
      <c r="K23" s="42">
        <f t="shared" si="0"/>
        <v>450000</v>
      </c>
      <c r="L23" s="42">
        <f t="shared" si="0"/>
        <v>450000</v>
      </c>
    </row>
    <row r="24" spans="1:12" ht="16.5" thickBot="1" thickTop="1">
      <c r="A24" s="100" t="s">
        <v>52</v>
      </c>
      <c r="B24" s="40"/>
      <c r="C24" s="43">
        <f aca="true" t="shared" si="1" ref="C24:L24">$B$10*13</f>
        <v>78000</v>
      </c>
      <c r="D24" s="43">
        <f t="shared" si="1"/>
        <v>78000</v>
      </c>
      <c r="E24" s="43">
        <f t="shared" si="1"/>
        <v>78000</v>
      </c>
      <c r="F24" s="43">
        <f t="shared" si="1"/>
        <v>78000</v>
      </c>
      <c r="G24" s="43">
        <f t="shared" si="1"/>
        <v>78000</v>
      </c>
      <c r="H24" s="43">
        <f t="shared" si="1"/>
        <v>78000</v>
      </c>
      <c r="I24" s="43">
        <f t="shared" si="1"/>
        <v>78000</v>
      </c>
      <c r="J24" s="43">
        <f t="shared" si="1"/>
        <v>78000</v>
      </c>
      <c r="K24" s="43">
        <f t="shared" si="1"/>
        <v>78000</v>
      </c>
      <c r="L24" s="43">
        <f t="shared" si="1"/>
        <v>78000</v>
      </c>
    </row>
    <row r="25" spans="1:12" ht="16.5" thickBot="1" thickTop="1">
      <c r="A25" s="100" t="s">
        <v>42</v>
      </c>
      <c r="B25" s="40"/>
      <c r="C25" s="43">
        <f>$B$20*4%</f>
        <v>10000</v>
      </c>
      <c r="D25" s="43">
        <f aca="true" t="shared" si="2" ref="D25:L25">$B$20*4%</f>
        <v>10000</v>
      </c>
      <c r="E25" s="43">
        <f t="shared" si="2"/>
        <v>10000</v>
      </c>
      <c r="F25" s="43">
        <f t="shared" si="2"/>
        <v>10000</v>
      </c>
      <c r="G25" s="43">
        <f t="shared" si="2"/>
        <v>10000</v>
      </c>
      <c r="H25" s="43">
        <f t="shared" si="2"/>
        <v>10000</v>
      </c>
      <c r="I25" s="43">
        <f t="shared" si="2"/>
        <v>10000</v>
      </c>
      <c r="J25" s="43">
        <f t="shared" si="2"/>
        <v>10000</v>
      </c>
      <c r="K25" s="43">
        <f t="shared" si="2"/>
        <v>10000</v>
      </c>
      <c r="L25" s="43">
        <f t="shared" si="2"/>
        <v>10000</v>
      </c>
    </row>
    <row r="26" spans="1:12" ht="16.5" thickBot="1" thickTop="1">
      <c r="A26" s="100" t="s">
        <v>45</v>
      </c>
      <c r="B26" s="40"/>
      <c r="C26" s="43">
        <f>50*C21</f>
        <v>35000</v>
      </c>
      <c r="D26" s="43">
        <f>50*D21</f>
        <v>35000</v>
      </c>
      <c r="E26" s="43">
        <f>50*E21</f>
        <v>35000</v>
      </c>
      <c r="F26" s="43">
        <f>50*F21</f>
        <v>45000</v>
      </c>
      <c r="G26" s="43">
        <f aca="true" t="shared" si="3" ref="G26:L26">50*G21</f>
        <v>45000</v>
      </c>
      <c r="H26" s="43">
        <f t="shared" si="3"/>
        <v>45000</v>
      </c>
      <c r="I26" s="43">
        <f t="shared" si="3"/>
        <v>45000</v>
      </c>
      <c r="J26" s="43">
        <f t="shared" si="3"/>
        <v>45000</v>
      </c>
      <c r="K26" s="43">
        <f t="shared" si="3"/>
        <v>45000</v>
      </c>
      <c r="L26" s="43">
        <f t="shared" si="3"/>
        <v>45000</v>
      </c>
    </row>
    <row r="27" spans="1:12" ht="16.5" thickBot="1" thickTop="1">
      <c r="A27" s="100" t="s">
        <v>53</v>
      </c>
      <c r="B27" s="40"/>
      <c r="C27" s="43">
        <f>$B$20/10</f>
        <v>25000</v>
      </c>
      <c r="D27" s="43">
        <f aca="true" t="shared" si="4" ref="D27:L27">$B$20/10</f>
        <v>25000</v>
      </c>
      <c r="E27" s="43">
        <f t="shared" si="4"/>
        <v>25000</v>
      </c>
      <c r="F27" s="43">
        <f t="shared" si="4"/>
        <v>25000</v>
      </c>
      <c r="G27" s="43">
        <f t="shared" si="4"/>
        <v>25000</v>
      </c>
      <c r="H27" s="43">
        <f t="shared" si="4"/>
        <v>25000</v>
      </c>
      <c r="I27" s="43">
        <f t="shared" si="4"/>
        <v>25000</v>
      </c>
      <c r="J27" s="43">
        <f t="shared" si="4"/>
        <v>25000</v>
      </c>
      <c r="K27" s="43">
        <f t="shared" si="4"/>
        <v>25000</v>
      </c>
      <c r="L27" s="43">
        <f t="shared" si="4"/>
        <v>25000</v>
      </c>
    </row>
    <row r="28" spans="1:12" ht="16.5" thickBot="1" thickTop="1">
      <c r="A28" s="100" t="s">
        <v>46</v>
      </c>
      <c r="B28" s="40"/>
      <c r="C28" s="43">
        <f>3000*4</f>
        <v>12000</v>
      </c>
      <c r="D28" s="43">
        <f>3000*4</f>
        <v>12000</v>
      </c>
      <c r="E28" s="43">
        <f>3000*4</f>
        <v>12000</v>
      </c>
      <c r="F28" s="43">
        <f>3000*5</f>
        <v>15000</v>
      </c>
      <c r="G28" s="43">
        <f aca="true" t="shared" si="5" ref="G28:L28">3000*5</f>
        <v>15000</v>
      </c>
      <c r="H28" s="43">
        <f t="shared" si="5"/>
        <v>15000</v>
      </c>
      <c r="I28" s="43">
        <f t="shared" si="5"/>
        <v>15000</v>
      </c>
      <c r="J28" s="43">
        <f t="shared" si="5"/>
        <v>15000</v>
      </c>
      <c r="K28" s="43">
        <f t="shared" si="5"/>
        <v>15000</v>
      </c>
      <c r="L28" s="43">
        <f t="shared" si="5"/>
        <v>15000</v>
      </c>
    </row>
    <row r="29" spans="1:12" ht="16.5" thickBot="1" thickTop="1">
      <c r="A29" s="100" t="s">
        <v>54</v>
      </c>
      <c r="B29" s="40"/>
      <c r="C29" s="44">
        <f>SUM(C24:C28)</f>
        <v>160000</v>
      </c>
      <c r="D29" s="44">
        <f aca="true" t="shared" si="6" ref="D29:L29">SUM(D24:D28)</f>
        <v>160000</v>
      </c>
      <c r="E29" s="44">
        <f t="shared" si="6"/>
        <v>160000</v>
      </c>
      <c r="F29" s="44">
        <f t="shared" si="6"/>
        <v>173000</v>
      </c>
      <c r="G29" s="44">
        <f t="shared" si="6"/>
        <v>173000</v>
      </c>
      <c r="H29" s="44">
        <f t="shared" si="6"/>
        <v>173000</v>
      </c>
      <c r="I29" s="44">
        <f t="shared" si="6"/>
        <v>173000</v>
      </c>
      <c r="J29" s="44">
        <f t="shared" si="6"/>
        <v>173000</v>
      </c>
      <c r="K29" s="44">
        <f t="shared" si="6"/>
        <v>173000</v>
      </c>
      <c r="L29" s="44">
        <f t="shared" si="6"/>
        <v>173000</v>
      </c>
    </row>
    <row r="30" spans="1:12" ht="16.5" thickBot="1" thickTop="1">
      <c r="A30" s="100" t="s">
        <v>55</v>
      </c>
      <c r="B30" s="40"/>
      <c r="C30" s="39">
        <f aca="true" t="shared" si="7" ref="C30:L30">C23-C29</f>
        <v>190000</v>
      </c>
      <c r="D30" s="39">
        <f t="shared" si="7"/>
        <v>190000</v>
      </c>
      <c r="E30" s="39">
        <f t="shared" si="7"/>
        <v>190000</v>
      </c>
      <c r="F30" s="39">
        <f t="shared" si="7"/>
        <v>277000</v>
      </c>
      <c r="G30" s="39">
        <f t="shared" si="7"/>
        <v>277000</v>
      </c>
      <c r="H30" s="39">
        <f t="shared" si="7"/>
        <v>277000</v>
      </c>
      <c r="I30" s="39">
        <f t="shared" si="7"/>
        <v>277000</v>
      </c>
      <c r="J30" s="39">
        <f t="shared" si="7"/>
        <v>277000</v>
      </c>
      <c r="K30" s="39">
        <f t="shared" si="7"/>
        <v>277000</v>
      </c>
      <c r="L30" s="39">
        <f t="shared" si="7"/>
        <v>277000</v>
      </c>
    </row>
    <row r="31" spans="1:12" ht="16.5" thickBot="1" thickTop="1">
      <c r="A31" s="101" t="s">
        <v>56</v>
      </c>
      <c r="B31" s="40"/>
      <c r="C31" s="66">
        <f aca="true" t="shared" si="8" ref="C31:L31">C30*35%</f>
        <v>66500</v>
      </c>
      <c r="D31" s="66">
        <f t="shared" si="8"/>
        <v>66500</v>
      </c>
      <c r="E31" s="66">
        <f t="shared" si="8"/>
        <v>66500</v>
      </c>
      <c r="F31" s="66">
        <f t="shared" si="8"/>
        <v>96950</v>
      </c>
      <c r="G31" s="66">
        <f t="shared" si="8"/>
        <v>96950</v>
      </c>
      <c r="H31" s="66">
        <f t="shared" si="8"/>
        <v>96950</v>
      </c>
      <c r="I31" s="66">
        <f t="shared" si="8"/>
        <v>96950</v>
      </c>
      <c r="J31" s="66">
        <f t="shared" si="8"/>
        <v>96950</v>
      </c>
      <c r="K31" s="66">
        <f t="shared" si="8"/>
        <v>96950</v>
      </c>
      <c r="L31" s="66">
        <f t="shared" si="8"/>
        <v>96950</v>
      </c>
    </row>
    <row r="32" spans="1:12" ht="15.75" thickTop="1">
      <c r="A32" s="102" t="s">
        <v>57</v>
      </c>
      <c r="B32" s="64"/>
      <c r="C32" s="58">
        <f aca="true" t="shared" si="9" ref="C32:L32">C30-C31</f>
        <v>123500</v>
      </c>
      <c r="D32" s="58">
        <f t="shared" si="9"/>
        <v>123500</v>
      </c>
      <c r="E32" s="58">
        <f t="shared" si="9"/>
        <v>123500</v>
      </c>
      <c r="F32" s="58">
        <f t="shared" si="9"/>
        <v>180050</v>
      </c>
      <c r="G32" s="58">
        <f t="shared" si="9"/>
        <v>180050</v>
      </c>
      <c r="H32" s="58">
        <f t="shared" si="9"/>
        <v>180050</v>
      </c>
      <c r="I32" s="58">
        <f t="shared" si="9"/>
        <v>180050</v>
      </c>
      <c r="J32" s="58">
        <f t="shared" si="9"/>
        <v>180050</v>
      </c>
      <c r="K32" s="58">
        <f t="shared" si="9"/>
        <v>180050</v>
      </c>
      <c r="L32" s="58">
        <f t="shared" si="9"/>
        <v>180050</v>
      </c>
    </row>
    <row r="33" spans="1:12" ht="15">
      <c r="A33" s="102" t="s">
        <v>67</v>
      </c>
      <c r="B33" s="65"/>
      <c r="C33" s="67">
        <v>17667</v>
      </c>
      <c r="D33" s="67">
        <v>17667</v>
      </c>
      <c r="E33" s="67">
        <v>17667</v>
      </c>
      <c r="F33" s="67">
        <v>17667</v>
      </c>
      <c r="G33" s="67">
        <v>17667</v>
      </c>
      <c r="H33" s="67">
        <v>17667</v>
      </c>
      <c r="I33" s="67">
        <v>17667</v>
      </c>
      <c r="J33" s="67">
        <v>17667</v>
      </c>
      <c r="K33" s="67">
        <v>17667</v>
      </c>
      <c r="L33" s="67">
        <v>17667</v>
      </c>
    </row>
    <row r="34" spans="1:13" ht="15.75" thickBot="1">
      <c r="A34" s="102"/>
      <c r="B34" s="59"/>
      <c r="C34" s="58">
        <f>-C33</f>
        <v>-17667</v>
      </c>
      <c r="D34" s="60" t="s">
        <v>69</v>
      </c>
      <c r="E34" s="60" t="s">
        <v>69</v>
      </c>
      <c r="F34" s="60" t="s">
        <v>69</v>
      </c>
      <c r="G34" s="60" t="s">
        <v>69</v>
      </c>
      <c r="H34" s="60" t="s">
        <v>69</v>
      </c>
      <c r="I34" s="60" t="s">
        <v>69</v>
      </c>
      <c r="J34" s="60" t="s">
        <v>69</v>
      </c>
      <c r="K34" s="60" t="s">
        <v>69</v>
      </c>
      <c r="L34" s="60" t="s">
        <v>69</v>
      </c>
      <c r="M34" s="61"/>
    </row>
    <row r="35" spans="1:14" ht="16.5" thickBot="1" thickTop="1">
      <c r="A35" s="102" t="s">
        <v>68</v>
      </c>
      <c r="B35" s="39">
        <v>-250000</v>
      </c>
      <c r="C35" s="63">
        <f>D32-B47+C27</f>
        <v>130833</v>
      </c>
      <c r="D35" s="58">
        <f>B47+C35</f>
        <v>148500</v>
      </c>
      <c r="E35" s="58">
        <f>J41+D35</f>
        <v>148500</v>
      </c>
      <c r="F35" s="58">
        <v>206967</v>
      </c>
      <c r="G35" s="58">
        <v>205050</v>
      </c>
      <c r="H35" s="58">
        <v>205050</v>
      </c>
      <c r="I35" s="58">
        <v>205050</v>
      </c>
      <c r="J35" s="58">
        <v>205050</v>
      </c>
      <c r="K35" s="58">
        <v>205050</v>
      </c>
      <c r="L35" s="58">
        <f>L32+F47+C27</f>
        <v>220800</v>
      </c>
      <c r="N35" s="61"/>
    </row>
    <row r="36" ht="16.5" thickBot="1" thickTop="1"/>
    <row r="37" spans="1:9" ht="15.75" thickBot="1">
      <c r="A37" s="81" t="s">
        <v>13</v>
      </c>
      <c r="B37" s="87"/>
      <c r="I37" s="62"/>
    </row>
    <row r="38" spans="1:6" ht="16.5" customHeight="1">
      <c r="A38" s="111" t="s">
        <v>47</v>
      </c>
      <c r="B38" s="112"/>
      <c r="E38" s="110" t="s">
        <v>61</v>
      </c>
      <c r="F38" s="110"/>
    </row>
    <row r="39" spans="4:10" ht="15">
      <c r="D39" s="47"/>
      <c r="E39" s="47"/>
      <c r="J39" s="48"/>
    </row>
    <row r="40" spans="1:6" ht="15">
      <c r="A40" s="82" t="s">
        <v>58</v>
      </c>
      <c r="B40" s="83">
        <f>10000</f>
        <v>10000</v>
      </c>
      <c r="C40" s="49"/>
      <c r="D40" s="48"/>
      <c r="E40" s="82" t="s">
        <v>58</v>
      </c>
      <c r="F40" s="85">
        <f>B40</f>
        <v>10000</v>
      </c>
    </row>
    <row r="41" spans="1:6" ht="15">
      <c r="A41" s="82" t="s">
        <v>60</v>
      </c>
      <c r="B41" s="83">
        <f>12000</f>
        <v>12000</v>
      </c>
      <c r="C41" s="49"/>
      <c r="D41" s="47"/>
      <c r="E41" s="82" t="s">
        <v>60</v>
      </c>
      <c r="F41" s="85">
        <f>F28</f>
        <v>15000</v>
      </c>
    </row>
    <row r="42" spans="1:6" ht="15">
      <c r="A42" s="82" t="s">
        <v>59</v>
      </c>
      <c r="B42" s="86">
        <f>35000*60/360</f>
        <v>5833.333333333333</v>
      </c>
      <c r="C42" s="49"/>
      <c r="D42" s="48"/>
      <c r="E42" s="82" t="s">
        <v>59</v>
      </c>
      <c r="F42" s="104">
        <f>45000*60/360</f>
        <v>7500</v>
      </c>
    </row>
    <row r="43" spans="1:11" ht="15">
      <c r="A43" s="84" t="s">
        <v>62</v>
      </c>
      <c r="B43" s="83">
        <f>SUM(B40:B42)</f>
        <v>27833.333333333332</v>
      </c>
      <c r="C43" s="49"/>
      <c r="D43" s="46"/>
      <c r="E43" s="84" t="s">
        <v>62</v>
      </c>
      <c r="F43" s="85">
        <f>SUM(F40:F42)</f>
        <v>32500</v>
      </c>
      <c r="H43" s="47"/>
      <c r="I43" s="48"/>
      <c r="K43" s="61"/>
    </row>
    <row r="44" spans="1:9" ht="15">
      <c r="A44" s="36"/>
      <c r="B44" s="50"/>
      <c r="C44" s="49"/>
      <c r="D44" s="46"/>
      <c r="E44" s="36"/>
      <c r="F44" s="45"/>
      <c r="H44" s="47"/>
      <c r="I44" s="47"/>
    </row>
    <row r="45" spans="1:9" ht="15">
      <c r="A45" s="28"/>
      <c r="B45" s="73"/>
      <c r="C45" s="48"/>
      <c r="D45" s="47"/>
      <c r="E45" s="28"/>
      <c r="F45" s="73"/>
      <c r="H45" s="28"/>
      <c r="I45" s="74"/>
    </row>
    <row r="46" spans="1:5" ht="15">
      <c r="A46" s="47"/>
      <c r="B46" s="47"/>
      <c r="C46" s="47"/>
      <c r="D46" s="47"/>
      <c r="E46" s="47"/>
    </row>
    <row r="47" spans="1:6" ht="15">
      <c r="A47" s="56" t="s">
        <v>67</v>
      </c>
      <c r="B47" s="68">
        <v>17667</v>
      </c>
      <c r="E47" s="56" t="s">
        <v>67</v>
      </c>
      <c r="F47" s="57">
        <f>+F43-I55</f>
        <v>15750</v>
      </c>
    </row>
    <row r="48" ht="15">
      <c r="I48" s="47"/>
    </row>
    <row r="49" spans="1:8" ht="15">
      <c r="A49" s="107" t="s">
        <v>63</v>
      </c>
      <c r="B49" s="107"/>
      <c r="C49" s="47"/>
      <c r="D49" s="47"/>
      <c r="E49" s="47"/>
      <c r="G49" s="107" t="s">
        <v>63</v>
      </c>
      <c r="H49" s="107"/>
    </row>
    <row r="50" spans="1:9" ht="15">
      <c r="A50" s="54"/>
      <c r="B50" s="54"/>
      <c r="C50" s="54" t="s">
        <v>66</v>
      </c>
      <c r="D50" s="54"/>
      <c r="E50" s="47"/>
      <c r="F50" s="54"/>
      <c r="G50" s="54"/>
      <c r="H50" s="54" t="s">
        <v>66</v>
      </c>
      <c r="I50" s="51"/>
    </row>
    <row r="51" spans="1:9" ht="15">
      <c r="A51" s="54" t="s">
        <v>64</v>
      </c>
      <c r="B51" s="55">
        <f>C25*20%</f>
        <v>2000</v>
      </c>
      <c r="C51" s="54">
        <v>30</v>
      </c>
      <c r="D51" s="55">
        <f>B51*C51/360</f>
        <v>166.66666666666666</v>
      </c>
      <c r="E51" s="47"/>
      <c r="F51" s="54" t="s">
        <v>64</v>
      </c>
      <c r="G51" s="55">
        <f>H25*20%</f>
        <v>2000</v>
      </c>
      <c r="H51" s="54">
        <v>30</v>
      </c>
      <c r="I51" s="55">
        <f>G51*H51/360</f>
        <v>166.66666666666666</v>
      </c>
    </row>
    <row r="52" spans="1:9" ht="15">
      <c r="A52" s="54" t="s">
        <v>65</v>
      </c>
      <c r="B52" s="55">
        <f>B51</f>
        <v>2000</v>
      </c>
      <c r="C52" s="54">
        <v>60</v>
      </c>
      <c r="D52" s="55">
        <f>B52*C52/360</f>
        <v>333.3333333333333</v>
      </c>
      <c r="E52" s="47"/>
      <c r="F52" s="54" t="s">
        <v>65</v>
      </c>
      <c r="G52" s="55">
        <f>G51</f>
        <v>2000</v>
      </c>
      <c r="H52" s="54">
        <v>60</v>
      </c>
      <c r="I52" s="55">
        <f>G52*H52/360</f>
        <v>333.3333333333333</v>
      </c>
    </row>
    <row r="53" spans="1:9" ht="15">
      <c r="A53" s="54" t="s">
        <v>60</v>
      </c>
      <c r="B53" s="55">
        <f>C28</f>
        <v>12000</v>
      </c>
      <c r="C53" s="54">
        <v>30</v>
      </c>
      <c r="D53" s="55">
        <f>B53*C53/360</f>
        <v>1000</v>
      </c>
      <c r="E53" s="47"/>
      <c r="F53" s="54" t="s">
        <v>60</v>
      </c>
      <c r="G53" s="55">
        <f>F28</f>
        <v>15000</v>
      </c>
      <c r="H53" s="54">
        <v>30</v>
      </c>
      <c r="I53" s="55">
        <f>G53*H53/360</f>
        <v>1250</v>
      </c>
    </row>
    <row r="54" spans="1:9" ht="15">
      <c r="A54" s="54" t="s">
        <v>59</v>
      </c>
      <c r="B54" s="55">
        <f>C26</f>
        <v>35000</v>
      </c>
      <c r="C54" s="54">
        <v>120</v>
      </c>
      <c r="D54" s="55">
        <f>B54*C54/360</f>
        <v>11666.666666666666</v>
      </c>
      <c r="E54" s="47"/>
      <c r="F54" s="54" t="s">
        <v>59</v>
      </c>
      <c r="G54" s="55">
        <f>F26</f>
        <v>45000</v>
      </c>
      <c r="H54" s="54">
        <v>120</v>
      </c>
      <c r="I54" s="55">
        <f>G54*H54/360</f>
        <v>15000</v>
      </c>
    </row>
    <row r="55" spans="1:9" ht="15">
      <c r="A55" s="47"/>
      <c r="B55" s="79" t="s">
        <v>17</v>
      </c>
      <c r="C55" s="80"/>
      <c r="D55" s="55">
        <f>SUM(D51:D54)</f>
        <v>13166.666666666666</v>
      </c>
      <c r="E55" s="47"/>
      <c r="F55" s="47"/>
      <c r="G55" s="79" t="s">
        <v>17</v>
      </c>
      <c r="H55" s="80"/>
      <c r="I55" s="55">
        <f>SUM(I51:I54)</f>
        <v>16750</v>
      </c>
    </row>
    <row r="57" spans="1:3" ht="15">
      <c r="A57" s="47"/>
      <c r="B57" s="48"/>
      <c r="C57" s="61"/>
    </row>
    <row r="60" spans="1:2" ht="15">
      <c r="A60" s="52" t="s">
        <v>25</v>
      </c>
      <c r="B60" s="53">
        <f>B64/B65</f>
        <v>2.4546310331996075</v>
      </c>
    </row>
    <row r="61" spans="1:6" ht="15">
      <c r="A61" s="52" t="s">
        <v>26</v>
      </c>
      <c r="B61" s="76">
        <f>IRR(B35:L35)</f>
        <v>0.6150078121357391</v>
      </c>
      <c r="E61" s="71" t="s">
        <v>29</v>
      </c>
      <c r="F61" s="69">
        <v>0.0687</v>
      </c>
    </row>
    <row r="62" spans="1:2" ht="15">
      <c r="A62" s="52" t="s">
        <v>27</v>
      </c>
      <c r="B62" s="77">
        <f>NPV(F61,C35:L35)+B35</f>
        <v>1043164.2717571764</v>
      </c>
    </row>
    <row r="63" spans="1:2" ht="15">
      <c r="A63" s="75" t="s">
        <v>28</v>
      </c>
      <c r="B63" s="75" t="s">
        <v>70</v>
      </c>
    </row>
    <row r="64" spans="1:3" ht="15">
      <c r="A64" s="52" t="s">
        <v>31</v>
      </c>
      <c r="B64" s="78">
        <f>NPV(F61,C23:L23)</f>
        <v>2916636.1632178673</v>
      </c>
      <c r="C64" s="72"/>
    </row>
    <row r="65" spans="1:3" ht="15">
      <c r="A65" s="52" t="s">
        <v>32</v>
      </c>
      <c r="B65" s="78">
        <f>NPV(F61,C29:L29)</f>
        <v>1188217.749946735</v>
      </c>
      <c r="C65" s="72"/>
    </row>
  </sheetData>
  <sheetProtection/>
  <mergeCells count="6">
    <mergeCell ref="G49:H49"/>
    <mergeCell ref="A3:C3"/>
    <mergeCell ref="A1:P2"/>
    <mergeCell ref="E38:F38"/>
    <mergeCell ref="A38:B38"/>
    <mergeCell ref="A49:B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SENA DIRECCION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sena</dc:creator>
  <cp:keywords/>
  <dc:description/>
  <cp:lastModifiedBy>sena</cp:lastModifiedBy>
  <dcterms:created xsi:type="dcterms:W3CDTF">2009-05-05T05:31:44Z</dcterms:created>
  <dcterms:modified xsi:type="dcterms:W3CDTF">2009-05-19T06:16:04Z</dcterms:modified>
  <cp:category/>
  <cp:version/>
  <cp:contentType/>
  <cp:contentStatus/>
</cp:coreProperties>
</file>